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2" i="2"/>
  <c r="M6"/>
  <c r="C17"/>
  <c r="C9"/>
  <c r="C10" s="1"/>
  <c r="C3"/>
  <c r="C6" s="1"/>
  <c r="J4"/>
  <c r="J3"/>
  <c r="O8" i="1"/>
  <c r="O7"/>
  <c r="O6"/>
  <c r="O5"/>
  <c r="O4"/>
  <c r="O3"/>
  <c r="O2"/>
  <c r="M8"/>
  <c r="M7"/>
  <c r="M6"/>
  <c r="I8"/>
  <c r="I7"/>
  <c r="I5"/>
  <c r="I4"/>
  <c r="D11"/>
  <c r="B11"/>
  <c r="D9"/>
  <c r="B9"/>
  <c r="D7"/>
  <c r="D6"/>
  <c r="D4"/>
  <c r="D2"/>
  <c r="B7"/>
  <c r="B6"/>
  <c r="B4"/>
  <c r="C11" i="2" l="1"/>
  <c r="H5"/>
  <c r="F15" l="1"/>
  <c r="C12"/>
  <c r="F14" s="1"/>
</calcChain>
</file>

<file path=xl/sharedStrings.xml><?xml version="1.0" encoding="utf-8"?>
<sst xmlns="http://schemas.openxmlformats.org/spreadsheetml/2006/main" count="132" uniqueCount="100">
  <si>
    <t>AlphaAlgea per batch</t>
  </si>
  <si>
    <t>total broth</t>
  </si>
  <si>
    <t>algae</t>
  </si>
  <si>
    <r>
      <t>Algae (</t>
    </r>
    <r>
      <rPr>
        <sz val="11"/>
        <color theme="1"/>
        <rFont val="Calibri"/>
        <family val="2"/>
      </rPr>
      <t>ρ)</t>
    </r>
  </si>
  <si>
    <t>metric</t>
  </si>
  <si>
    <t>grams</t>
  </si>
  <si>
    <t>kg</t>
  </si>
  <si>
    <t xml:space="preserve">Fermentor size </t>
  </si>
  <si>
    <t>standard</t>
  </si>
  <si>
    <t>L</t>
  </si>
  <si>
    <t>Gal</t>
  </si>
  <si>
    <t>g/l</t>
  </si>
  <si>
    <t>%</t>
  </si>
  <si>
    <t>Cap Utilized</t>
  </si>
  <si>
    <t>lb</t>
  </si>
  <si>
    <t>ton</t>
  </si>
  <si>
    <t>unit</t>
  </si>
  <si>
    <t>lipids (ρ)</t>
  </si>
  <si>
    <t>g/l which is 20%</t>
  </si>
  <si>
    <t>DHA (ρ)</t>
  </si>
  <si>
    <t>g/l which is 40%</t>
  </si>
  <si>
    <t>lipids produced</t>
  </si>
  <si>
    <t>tons</t>
  </si>
  <si>
    <t>DHA produced</t>
  </si>
  <si>
    <t>Marketing Basis</t>
  </si>
  <si>
    <t>industry</t>
  </si>
  <si>
    <t>we want</t>
  </si>
  <si>
    <t>$</t>
  </si>
  <si>
    <t>retail value of product</t>
  </si>
  <si>
    <t>whole sale</t>
  </si>
  <si>
    <t>Product</t>
  </si>
  <si>
    <t>Our margin</t>
  </si>
  <si>
    <t>Profit</t>
  </si>
  <si>
    <t>units sold</t>
  </si>
  <si>
    <t>mass of unit</t>
  </si>
  <si>
    <t>g</t>
  </si>
  <si>
    <t>servings per unit</t>
  </si>
  <si>
    <t>grams per serving</t>
  </si>
  <si>
    <t>DHA per serving</t>
  </si>
  <si>
    <t>DHA per unit</t>
  </si>
  <si>
    <t>DHA per year</t>
  </si>
  <si>
    <t>units</t>
  </si>
  <si>
    <t>standard units</t>
  </si>
  <si>
    <t>process #'s to centr</t>
  </si>
  <si>
    <t>% lost per process</t>
  </si>
  <si>
    <t>l</t>
  </si>
  <si>
    <t>k</t>
  </si>
  <si>
    <t>centrifuge operating cond</t>
  </si>
  <si>
    <t>bowl dia</t>
  </si>
  <si>
    <t>in</t>
  </si>
  <si>
    <t>hp</t>
  </si>
  <si>
    <t>gpm</t>
  </si>
  <si>
    <t>min op. con</t>
  </si>
  <si>
    <t>inlet conditions</t>
  </si>
  <si>
    <t>BTU/hr</t>
  </si>
  <si>
    <t>rpm</t>
  </si>
  <si>
    <t>max G</t>
  </si>
  <si>
    <t>Batch time</t>
  </si>
  <si>
    <t>l/min</t>
  </si>
  <si>
    <t>min</t>
  </si>
  <si>
    <r>
      <t xml:space="preserve">total </t>
    </r>
    <r>
      <rPr>
        <sz val="11"/>
        <color theme="1"/>
        <rFont val="Calibri"/>
        <family val="2"/>
      </rPr>
      <t>ρ *</t>
    </r>
  </si>
  <si>
    <t>temp to centr *</t>
  </si>
  <si>
    <t>Mass in</t>
  </si>
  <si>
    <t>mass out</t>
  </si>
  <si>
    <t xml:space="preserve"> inlet volume</t>
  </si>
  <si>
    <t>oil</t>
  </si>
  <si>
    <r>
      <t xml:space="preserve">lipids </t>
    </r>
    <r>
      <rPr>
        <sz val="11"/>
        <color theme="1"/>
        <rFont val="Calibri"/>
        <family val="2"/>
      </rPr>
      <t>ρ</t>
    </r>
  </si>
  <si>
    <t>vol out centr</t>
  </si>
  <si>
    <r>
      <t xml:space="preserve">biomass </t>
    </r>
    <r>
      <rPr>
        <sz val="11"/>
        <color theme="1"/>
        <rFont val="Calibri"/>
        <family val="2"/>
      </rPr>
      <t>ρ</t>
    </r>
  </si>
  <si>
    <t>± 1%</t>
  </si>
  <si>
    <t>based on outlet calcs of 500.808 oil and 2504.042 biomass</t>
  </si>
  <si>
    <t>biomass</t>
  </si>
  <si>
    <t>99% efficient</t>
  </si>
  <si>
    <t>150hp</t>
  </si>
  <si>
    <t>assume 75% of medium is removed by DAF</t>
  </si>
  <si>
    <t>Mass balance =</t>
  </si>
  <si>
    <t>from vented</t>
  </si>
  <si>
    <t>CO2 lysing</t>
  </si>
  <si>
    <t>X-fer pump</t>
  </si>
  <si>
    <t>piping 1 atm</t>
  </si>
  <si>
    <t xml:space="preserve">throttling </t>
  </si>
  <si>
    <t>control volume</t>
  </si>
  <si>
    <t>of one batch</t>
  </si>
  <si>
    <t>ramp up psi pump</t>
  </si>
  <si>
    <t>lipids</t>
  </si>
  <si>
    <t>biomass in</t>
  </si>
  <si>
    <t>vol flowrate</t>
  </si>
  <si>
    <t>Energy balance=</t>
  </si>
  <si>
    <t>E in</t>
  </si>
  <si>
    <t>motor</t>
  </si>
  <si>
    <t>Boimass</t>
  </si>
  <si>
    <t>cost</t>
  </si>
  <si>
    <t>Ce=a+bS^n</t>
  </si>
  <si>
    <t>S</t>
  </si>
  <si>
    <t>M</t>
  </si>
  <si>
    <t>a</t>
  </si>
  <si>
    <t>b</t>
  </si>
  <si>
    <t>n</t>
  </si>
  <si>
    <t>total</t>
  </si>
  <si>
    <t>Mass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</si>
</sst>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3" fontId="0" fillId="0" borderId="0" xfId="0" applyNumberFormat="1"/>
    <xf numFmtId="9" fontId="0" fillId="0" borderId="0" xfId="0" applyNumberFormat="1"/>
    <xf numFmtId="44" fontId="0" fillId="0" borderId="0" xfId="1" applyFont="1"/>
    <xf numFmtId="0" fontId="0" fillId="5" borderId="0" xfId="0" applyFill="1"/>
    <xf numFmtId="0" fontId="0" fillId="0" borderId="0" xfId="0" applyFill="1"/>
    <xf numFmtId="0" fontId="0" fillId="6" borderId="0" xfId="0" applyFill="1"/>
    <xf numFmtId="0" fontId="0" fillId="7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23</xdr:row>
      <xdr:rowOff>38100</xdr:rowOff>
    </xdr:from>
    <xdr:to>
      <xdr:col>11</xdr:col>
      <xdr:colOff>571500</xdr:colOff>
      <xdr:row>29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48100" y="2895600"/>
          <a:ext cx="3429000" cy="11334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11</xdr:col>
      <xdr:colOff>571500</xdr:colOff>
      <xdr:row>26</xdr:row>
      <xdr:rowOff>33338</xdr:rowOff>
    </xdr:from>
    <xdr:to>
      <xdr:col>13</xdr:col>
      <xdr:colOff>76200</xdr:colOff>
      <xdr:row>29</xdr:row>
      <xdr:rowOff>114300</xdr:rowOff>
    </xdr:to>
    <xdr:cxnSp macro="">
      <xdr:nvCxnSpPr>
        <xdr:cNvPr id="4" name="Elbow Connector 3"/>
        <xdr:cNvCxnSpPr>
          <a:stCxn id="2" idx="3"/>
        </xdr:cNvCxnSpPr>
      </xdr:nvCxnSpPr>
      <xdr:spPr>
        <a:xfrm>
          <a:off x="7277100" y="3462338"/>
          <a:ext cx="723900" cy="652462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581025</xdr:colOff>
      <xdr:row>22</xdr:row>
      <xdr:rowOff>95250</xdr:rowOff>
    </xdr:from>
    <xdr:to>
      <xdr:col>13</xdr:col>
      <xdr:colOff>114300</xdr:colOff>
      <xdr:row>25</xdr:row>
      <xdr:rowOff>76200</xdr:rowOff>
    </xdr:to>
    <xdr:cxnSp macro="">
      <xdr:nvCxnSpPr>
        <xdr:cNvPr id="6" name="Elbow Connector 5"/>
        <xdr:cNvCxnSpPr/>
      </xdr:nvCxnSpPr>
      <xdr:spPr>
        <a:xfrm flipV="1">
          <a:off x="7286625" y="2762250"/>
          <a:ext cx="752475" cy="55245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409575</xdr:colOff>
      <xdr:row>24</xdr:row>
      <xdr:rowOff>47624</xdr:rowOff>
    </xdr:from>
    <xdr:to>
      <xdr:col>3</xdr:col>
      <xdr:colOff>123825</xdr:colOff>
      <xdr:row>25</xdr:row>
      <xdr:rowOff>190499</xdr:rowOff>
    </xdr:to>
    <xdr:sp macro="" textlink="">
      <xdr:nvSpPr>
        <xdr:cNvPr id="11" name="Flowchart: Or 10"/>
        <xdr:cNvSpPr/>
      </xdr:nvSpPr>
      <xdr:spPr>
        <a:xfrm>
          <a:off x="1628775" y="3095624"/>
          <a:ext cx="323850" cy="333375"/>
        </a:xfrm>
        <a:prstGeom prst="flowChar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238125</xdr:colOff>
      <xdr:row>24</xdr:row>
      <xdr:rowOff>9525</xdr:rowOff>
    </xdr:from>
    <xdr:to>
      <xdr:col>2</xdr:col>
      <xdr:colOff>352425</xdr:colOff>
      <xdr:row>26</xdr:row>
      <xdr:rowOff>66675</xdr:rowOff>
    </xdr:to>
    <xdr:sp macro="" textlink="">
      <xdr:nvSpPr>
        <xdr:cNvPr id="15" name="Left-Right Arrow Callout 14"/>
        <xdr:cNvSpPr/>
      </xdr:nvSpPr>
      <xdr:spPr>
        <a:xfrm>
          <a:off x="847725" y="3057525"/>
          <a:ext cx="723900" cy="438150"/>
        </a:xfrm>
        <a:prstGeom prst="leftRigh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171450</xdr:colOff>
      <xdr:row>24</xdr:row>
      <xdr:rowOff>38100</xdr:rowOff>
    </xdr:from>
    <xdr:to>
      <xdr:col>4</xdr:col>
      <xdr:colOff>495300</xdr:colOff>
      <xdr:row>25</xdr:row>
      <xdr:rowOff>180975</xdr:rowOff>
    </xdr:to>
    <xdr:sp macro="" textlink="">
      <xdr:nvSpPr>
        <xdr:cNvPr id="19" name="Flowchart: Or 18"/>
        <xdr:cNvSpPr/>
      </xdr:nvSpPr>
      <xdr:spPr>
        <a:xfrm>
          <a:off x="2609850" y="3086100"/>
          <a:ext cx="323850" cy="333375"/>
        </a:xfrm>
        <a:prstGeom prst="flowChar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314325</xdr:colOff>
      <xdr:row>26</xdr:row>
      <xdr:rowOff>0</xdr:rowOff>
    </xdr:from>
    <xdr:to>
      <xdr:col>2</xdr:col>
      <xdr:colOff>571500</xdr:colOff>
      <xdr:row>28</xdr:row>
      <xdr:rowOff>1</xdr:rowOff>
    </xdr:to>
    <xdr:cxnSp macro="">
      <xdr:nvCxnSpPr>
        <xdr:cNvPr id="21" name="Elbow Connector 20"/>
        <xdr:cNvCxnSpPr>
          <a:endCxn id="11" idx="4"/>
        </xdr:cNvCxnSpPr>
      </xdr:nvCxnSpPr>
      <xdr:spPr>
        <a:xfrm rot="5400000" flipH="1" flipV="1">
          <a:off x="1471612" y="3490913"/>
          <a:ext cx="381001" cy="257175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333375</xdr:colOff>
      <xdr:row>25</xdr:row>
      <xdr:rowOff>180975</xdr:rowOff>
    </xdr:from>
    <xdr:to>
      <xdr:col>4</xdr:col>
      <xdr:colOff>334963</xdr:colOff>
      <xdr:row>25</xdr:row>
      <xdr:rowOff>182563</xdr:rowOff>
    </xdr:to>
    <xdr:cxnSp macro="">
      <xdr:nvCxnSpPr>
        <xdr:cNvPr id="23" name="Straight Arrow Connector 22"/>
        <xdr:cNvCxnSpPr>
          <a:stCxn id="19" idx="4"/>
          <a:endCxn id="19" idx="4"/>
        </xdr:cNvCxnSpPr>
      </xdr:nvCxnSpPr>
      <xdr:spPr>
        <a:xfrm rot="5400000">
          <a:off x="2771775" y="3419475"/>
          <a:ext cx="1588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332582</xdr:colOff>
      <xdr:row>25</xdr:row>
      <xdr:rowOff>181769</xdr:rowOff>
    </xdr:from>
    <xdr:to>
      <xdr:col>4</xdr:col>
      <xdr:colOff>334170</xdr:colOff>
      <xdr:row>27</xdr:row>
      <xdr:rowOff>172244</xdr:rowOff>
    </xdr:to>
    <xdr:cxnSp macro="">
      <xdr:nvCxnSpPr>
        <xdr:cNvPr id="25" name="Straight Arrow Connector 24"/>
        <xdr:cNvCxnSpPr>
          <a:endCxn id="19" idx="4"/>
        </xdr:cNvCxnSpPr>
      </xdr:nvCxnSpPr>
      <xdr:spPr>
        <a:xfrm rot="5400000" flipH="1" flipV="1">
          <a:off x="2586038" y="3605213"/>
          <a:ext cx="3714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25</xdr:row>
      <xdr:rowOff>14288</xdr:rowOff>
    </xdr:from>
    <xdr:to>
      <xdr:col>4</xdr:col>
      <xdr:colOff>171450</xdr:colOff>
      <xdr:row>25</xdr:row>
      <xdr:rowOff>23812</xdr:rowOff>
    </xdr:to>
    <xdr:cxnSp macro="">
      <xdr:nvCxnSpPr>
        <xdr:cNvPr id="27" name="Straight Arrow Connector 26"/>
        <xdr:cNvCxnSpPr>
          <a:stCxn id="11" idx="6"/>
          <a:endCxn id="19" idx="2"/>
        </xdr:cNvCxnSpPr>
      </xdr:nvCxnSpPr>
      <xdr:spPr>
        <a:xfrm flipV="1">
          <a:off x="1952625" y="3252788"/>
          <a:ext cx="657225" cy="95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495300</xdr:colOff>
      <xdr:row>25</xdr:row>
      <xdr:rowOff>9525</xdr:rowOff>
    </xdr:from>
    <xdr:to>
      <xdr:col>7</xdr:col>
      <xdr:colOff>38100</xdr:colOff>
      <xdr:row>25</xdr:row>
      <xdr:rowOff>14288</xdr:rowOff>
    </xdr:to>
    <xdr:cxnSp macro="">
      <xdr:nvCxnSpPr>
        <xdr:cNvPr id="29" name="Straight Arrow Connector 28"/>
        <xdr:cNvCxnSpPr>
          <a:stCxn id="19" idx="6"/>
        </xdr:cNvCxnSpPr>
      </xdr:nvCxnSpPr>
      <xdr:spPr>
        <a:xfrm flipV="1">
          <a:off x="2933700" y="3248025"/>
          <a:ext cx="1371600" cy="47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180974</xdr:colOff>
      <xdr:row>24</xdr:row>
      <xdr:rowOff>95250</xdr:rowOff>
    </xdr:from>
    <xdr:to>
      <xdr:col>5</xdr:col>
      <xdr:colOff>533399</xdr:colOff>
      <xdr:row>25</xdr:row>
      <xdr:rowOff>180976</xdr:rowOff>
    </xdr:to>
    <xdr:sp macro="" textlink="">
      <xdr:nvSpPr>
        <xdr:cNvPr id="30" name="&quot;No&quot; Symbol 29"/>
        <xdr:cNvSpPr/>
      </xdr:nvSpPr>
      <xdr:spPr>
        <a:xfrm>
          <a:off x="3228974" y="3143250"/>
          <a:ext cx="352425" cy="276226"/>
        </a:xfrm>
        <a:prstGeom prst="noSmoking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352425</xdr:colOff>
      <xdr:row>23</xdr:row>
      <xdr:rowOff>19050</xdr:rowOff>
    </xdr:from>
    <xdr:to>
      <xdr:col>5</xdr:col>
      <xdr:colOff>357187</xdr:colOff>
      <xdr:row>24</xdr:row>
      <xdr:rowOff>95250</xdr:rowOff>
    </xdr:to>
    <xdr:cxnSp macro="">
      <xdr:nvCxnSpPr>
        <xdr:cNvPr id="38" name="Straight Arrow Connector 37"/>
        <xdr:cNvCxnSpPr>
          <a:endCxn id="30" idx="0"/>
        </xdr:cNvCxnSpPr>
      </xdr:nvCxnSpPr>
      <xdr:spPr>
        <a:xfrm rot="16200000" flipH="1">
          <a:off x="3269456" y="3007519"/>
          <a:ext cx="266700" cy="476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workbookViewId="0">
      <selection activeCell="B7" sqref="B7"/>
    </sheetView>
  </sheetViews>
  <sheetFormatPr defaultRowHeight="15"/>
  <cols>
    <col min="1" max="1" width="24.5703125" customWidth="1"/>
    <col min="8" max="9" width="12.7109375" bestFit="1" customWidth="1"/>
  </cols>
  <sheetData>
    <row r="1" spans="1:16">
      <c r="A1" s="2" t="s">
        <v>0</v>
      </c>
      <c r="B1" t="s">
        <v>4</v>
      </c>
      <c r="C1" t="s">
        <v>16</v>
      </c>
      <c r="D1" t="s">
        <v>8</v>
      </c>
      <c r="E1" t="s">
        <v>16</v>
      </c>
      <c r="G1" s="4" t="s">
        <v>24</v>
      </c>
      <c r="H1" s="4"/>
      <c r="I1" t="s">
        <v>27</v>
      </c>
      <c r="K1" s="3" t="s">
        <v>30</v>
      </c>
      <c r="M1" t="s">
        <v>4</v>
      </c>
      <c r="N1" t="s">
        <v>41</v>
      </c>
      <c r="O1" t="s">
        <v>42</v>
      </c>
    </row>
    <row r="2" spans="1:16">
      <c r="A2" t="s">
        <v>7</v>
      </c>
      <c r="B2">
        <v>132489</v>
      </c>
      <c r="C2" t="s">
        <v>9</v>
      </c>
      <c r="D2">
        <f>132489*0.264172</f>
        <v>34999.884108000006</v>
      </c>
      <c r="E2" t="s">
        <v>10</v>
      </c>
      <c r="G2" t="s">
        <v>25</v>
      </c>
      <c r="I2" s="5">
        <v>5200000000</v>
      </c>
      <c r="J2" s="7"/>
      <c r="K2" t="s">
        <v>34</v>
      </c>
      <c r="M2">
        <v>426</v>
      </c>
      <c r="N2" t="s">
        <v>35</v>
      </c>
      <c r="O2">
        <f t="shared" ref="O2:O7" si="0">M2*0.002205</f>
        <v>0.93933</v>
      </c>
      <c r="P2" t="s">
        <v>14</v>
      </c>
    </row>
    <row r="3" spans="1:16">
      <c r="A3" t="s">
        <v>13</v>
      </c>
      <c r="B3">
        <v>0.7</v>
      </c>
      <c r="C3" t="s">
        <v>12</v>
      </c>
      <c r="G3" t="s">
        <v>26</v>
      </c>
      <c r="H3" s="6"/>
      <c r="I3" s="6">
        <v>0.01</v>
      </c>
      <c r="K3" t="s">
        <v>36</v>
      </c>
      <c r="M3">
        <v>34</v>
      </c>
      <c r="N3" t="s">
        <v>35</v>
      </c>
      <c r="O3">
        <f t="shared" si="0"/>
        <v>7.4969999999999995E-2</v>
      </c>
      <c r="P3" t="s">
        <v>14</v>
      </c>
    </row>
    <row r="4" spans="1:16">
      <c r="A4" t="s">
        <v>1</v>
      </c>
      <c r="B4">
        <f>B2*B3</f>
        <v>92742.299999999988</v>
      </c>
      <c r="C4" t="s">
        <v>9</v>
      </c>
      <c r="D4">
        <f>B4*0.264172</f>
        <v>24499.9188756</v>
      </c>
      <c r="E4" t="s">
        <v>10</v>
      </c>
      <c r="G4" t="s">
        <v>31</v>
      </c>
      <c r="I4">
        <f>5200000000*0.01</f>
        <v>52000000</v>
      </c>
      <c r="K4" t="s">
        <v>37</v>
      </c>
      <c r="M4">
        <v>11</v>
      </c>
      <c r="N4" t="s">
        <v>35</v>
      </c>
      <c r="O4">
        <f t="shared" si="0"/>
        <v>2.4254999999999999E-2</v>
      </c>
      <c r="P4" t="s">
        <v>14</v>
      </c>
    </row>
    <row r="5" spans="1:16">
      <c r="A5" t="s">
        <v>3</v>
      </c>
      <c r="B5">
        <v>27</v>
      </c>
      <c r="C5" t="s">
        <v>11</v>
      </c>
      <c r="G5" t="s">
        <v>32</v>
      </c>
      <c r="I5">
        <f>I4*0.35</f>
        <v>18200000</v>
      </c>
      <c r="K5" t="s">
        <v>38</v>
      </c>
      <c r="M5">
        <v>0.13</v>
      </c>
      <c r="N5" t="s">
        <v>35</v>
      </c>
      <c r="O5">
        <f t="shared" si="0"/>
        <v>2.8665E-4</v>
      </c>
      <c r="P5" t="s">
        <v>14</v>
      </c>
    </row>
    <row r="6" spans="1:16">
      <c r="A6" t="s">
        <v>2</v>
      </c>
      <c r="B6">
        <f>B4*B5</f>
        <v>2504042.0999999996</v>
      </c>
      <c r="C6" t="s">
        <v>5</v>
      </c>
      <c r="D6">
        <f>B6*0.002205</f>
        <v>5521.4128304999986</v>
      </c>
      <c r="E6" t="s">
        <v>14</v>
      </c>
      <c r="G6" t="s">
        <v>28</v>
      </c>
      <c r="I6">
        <v>5</v>
      </c>
      <c r="K6" t="s">
        <v>39</v>
      </c>
      <c r="M6">
        <f>M5*M3</f>
        <v>4.42</v>
      </c>
      <c r="N6" t="s">
        <v>35</v>
      </c>
      <c r="O6">
        <f t="shared" si="0"/>
        <v>9.7460999999999989E-3</v>
      </c>
      <c r="P6" t="s">
        <v>14</v>
      </c>
    </row>
    <row r="7" spans="1:16">
      <c r="A7" s="1"/>
      <c r="B7">
        <f>2504042/1000</f>
        <v>2504.0419999999999</v>
      </c>
      <c r="C7" t="s">
        <v>6</v>
      </c>
      <c r="D7">
        <f>D6/2000</f>
        <v>2.7607064152499992</v>
      </c>
      <c r="E7" t="s">
        <v>15</v>
      </c>
      <c r="G7" t="s">
        <v>29</v>
      </c>
      <c r="I7">
        <f>I6*0.35</f>
        <v>1.75</v>
      </c>
      <c r="K7" t="s">
        <v>40</v>
      </c>
      <c r="M7">
        <f>I8*M6</f>
        <v>45968000</v>
      </c>
      <c r="N7" t="s">
        <v>35</v>
      </c>
      <c r="O7">
        <f t="shared" si="0"/>
        <v>101359.44</v>
      </c>
      <c r="P7" t="s">
        <v>14</v>
      </c>
    </row>
    <row r="8" spans="1:16">
      <c r="A8" s="1" t="s">
        <v>17</v>
      </c>
      <c r="B8">
        <v>5.4</v>
      </c>
      <c r="C8" t="s">
        <v>18</v>
      </c>
      <c r="G8" t="s">
        <v>33</v>
      </c>
      <c r="I8">
        <f>I5/I7</f>
        <v>10400000</v>
      </c>
      <c r="M8">
        <f>M7/1000</f>
        <v>45968</v>
      </c>
      <c r="N8" t="s">
        <v>6</v>
      </c>
      <c r="O8">
        <f>O7/2000</f>
        <v>50.679720000000003</v>
      </c>
      <c r="P8" t="s">
        <v>22</v>
      </c>
    </row>
    <row r="9" spans="1:16">
      <c r="A9" s="1" t="s">
        <v>21</v>
      </c>
      <c r="B9">
        <f>B7*0.2</f>
        <v>500.80840000000001</v>
      </c>
      <c r="C9" t="s">
        <v>6</v>
      </c>
      <c r="D9">
        <f>B9*2.2046/2000</f>
        <v>0.55204109932000001</v>
      </c>
      <c r="E9" t="s">
        <v>22</v>
      </c>
    </row>
    <row r="10" spans="1:16">
      <c r="A10" s="1" t="s">
        <v>19</v>
      </c>
      <c r="B10">
        <v>2.16</v>
      </c>
      <c r="C10" t="s">
        <v>20</v>
      </c>
    </row>
    <row r="11" spans="1:16">
      <c r="A11" s="1" t="s">
        <v>23</v>
      </c>
      <c r="B11">
        <f>B9*0.4</f>
        <v>200.32336000000001</v>
      </c>
      <c r="C11" t="s">
        <v>6</v>
      </c>
      <c r="D11">
        <f>B11*2.20462/2000</f>
        <v>0.2208184429616</v>
      </c>
      <c r="E11" t="s">
        <v>22</v>
      </c>
    </row>
    <row r="13" spans="1:16">
      <c r="A13" s="1"/>
    </row>
    <row r="14" spans="1:16">
      <c r="A14" s="1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1"/>
  <sheetViews>
    <sheetView tabSelected="1" workbookViewId="0">
      <selection activeCell="C18" sqref="C18"/>
    </sheetView>
  </sheetViews>
  <sheetFormatPr defaultRowHeight="15"/>
  <sheetData>
    <row r="1" spans="1:14">
      <c r="A1" s="10" t="s">
        <v>53</v>
      </c>
      <c r="B1" s="10"/>
      <c r="F1" s="8" t="s">
        <v>47</v>
      </c>
      <c r="G1" s="8"/>
      <c r="H1" s="8"/>
      <c r="I1" t="s">
        <v>72</v>
      </c>
      <c r="L1" s="9" t="s">
        <v>91</v>
      </c>
      <c r="M1" s="9" t="s">
        <v>92</v>
      </c>
    </row>
    <row r="2" spans="1:14">
      <c r="A2" s="4" t="s">
        <v>74</v>
      </c>
      <c r="B2" s="4"/>
      <c r="C2" s="4"/>
      <c r="D2" s="4"/>
      <c r="E2" s="4"/>
      <c r="F2" t="s">
        <v>48</v>
      </c>
      <c r="H2">
        <v>30</v>
      </c>
      <c r="I2" t="s">
        <v>49</v>
      </c>
      <c r="L2" t="s">
        <v>93</v>
      </c>
      <c r="M2">
        <f>0.49</f>
        <v>0.49</v>
      </c>
      <c r="N2" t="s">
        <v>94</v>
      </c>
    </row>
    <row r="3" spans="1:14">
      <c r="A3" t="s">
        <v>64</v>
      </c>
      <c r="C3">
        <f>Sheet1!B4-Sheet1!B4*0.75</f>
        <v>23185.574999999997</v>
      </c>
      <c r="D3" t="s">
        <v>45</v>
      </c>
      <c r="F3" t="s">
        <v>50</v>
      </c>
      <c r="H3">
        <v>150</v>
      </c>
      <c r="I3" t="s">
        <v>50</v>
      </c>
      <c r="J3">
        <f>H3*2545</f>
        <v>381750</v>
      </c>
      <c r="K3" t="s">
        <v>54</v>
      </c>
      <c r="L3" t="s">
        <v>95</v>
      </c>
      <c r="M3">
        <v>63000</v>
      </c>
    </row>
    <row r="4" spans="1:14">
      <c r="A4" t="s">
        <v>43</v>
      </c>
      <c r="C4">
        <v>3</v>
      </c>
      <c r="F4" t="s">
        <v>52</v>
      </c>
      <c r="H4">
        <v>200</v>
      </c>
      <c r="I4" t="s">
        <v>51</v>
      </c>
      <c r="J4">
        <f>H3*3.78541</f>
        <v>567.81150000000002</v>
      </c>
      <c r="K4" t="s">
        <v>58</v>
      </c>
      <c r="L4" t="s">
        <v>96</v>
      </c>
      <c r="M4">
        <v>260000</v>
      </c>
    </row>
    <row r="5" spans="1:14">
      <c r="A5" t="s">
        <v>44</v>
      </c>
      <c r="C5">
        <v>0.01</v>
      </c>
      <c r="F5" t="s">
        <v>57</v>
      </c>
      <c r="H5">
        <f>C6/J4</f>
        <v>40.424893208397499</v>
      </c>
      <c r="I5" t="s">
        <v>59</v>
      </c>
      <c r="L5" t="s">
        <v>97</v>
      </c>
      <c r="M5">
        <v>0.8</v>
      </c>
    </row>
    <row r="6" spans="1:14">
      <c r="A6" t="s">
        <v>67</v>
      </c>
      <c r="C6">
        <f>C3-C3*0.01</f>
        <v>22953.719249999998</v>
      </c>
      <c r="D6" t="s">
        <v>45</v>
      </c>
      <c r="F6" t="s">
        <v>55</v>
      </c>
      <c r="H6" s="5">
        <v>2500</v>
      </c>
      <c r="L6" t="s">
        <v>98</v>
      </c>
      <c r="M6">
        <f>M3+(M4*(M2^(M5)))</f>
        <v>209936.67633140809</v>
      </c>
    </row>
    <row r="7" spans="1:14">
      <c r="A7" t="s">
        <v>61</v>
      </c>
      <c r="C7">
        <v>303.14999999999998</v>
      </c>
      <c r="D7" t="s">
        <v>46</v>
      </c>
      <c r="F7" t="s">
        <v>56</v>
      </c>
      <c r="H7">
        <v>2500</v>
      </c>
    </row>
    <row r="8" spans="1:14">
      <c r="A8" t="s">
        <v>68</v>
      </c>
      <c r="C8">
        <v>104.76</v>
      </c>
      <c r="D8" t="s">
        <v>11</v>
      </c>
    </row>
    <row r="9" spans="1:14">
      <c r="A9" t="s">
        <v>66</v>
      </c>
      <c r="C9">
        <f>20.95096</f>
        <v>20.950959999999998</v>
      </c>
      <c r="D9" t="s">
        <v>11</v>
      </c>
    </row>
    <row r="10" spans="1:14">
      <c r="A10" t="s">
        <v>60</v>
      </c>
      <c r="C10">
        <f>C8+C9</f>
        <v>125.71096</v>
      </c>
      <c r="D10" t="s">
        <v>11</v>
      </c>
    </row>
    <row r="11" spans="1:14">
      <c r="A11" t="s">
        <v>71</v>
      </c>
      <c r="C11">
        <f>C6*C8/1000</f>
        <v>2404.6316286300003</v>
      </c>
      <c r="D11" t="s">
        <v>6</v>
      </c>
    </row>
    <row r="12" spans="1:14">
      <c r="A12" t="s">
        <v>84</v>
      </c>
      <c r="C12">
        <f>C6*C9/1000</f>
        <v>480.90245385797994</v>
      </c>
      <c r="D12" t="s">
        <v>6</v>
      </c>
    </row>
    <row r="13" spans="1:14">
      <c r="A13" s="2" t="s">
        <v>75</v>
      </c>
      <c r="B13" s="2"/>
      <c r="C13" s="2" t="s">
        <v>62</v>
      </c>
      <c r="E13" s="2" t="s">
        <v>63</v>
      </c>
      <c r="F13" s="1" t="s">
        <v>69</v>
      </c>
    </row>
    <row r="14" spans="1:14">
      <c r="A14" t="s">
        <v>85</v>
      </c>
      <c r="C14">
        <v>23185.58</v>
      </c>
      <c r="D14" t="s">
        <v>45</v>
      </c>
      <c r="E14" t="s">
        <v>65</v>
      </c>
      <c r="F14">
        <f>C12-C12*C5</f>
        <v>476.09342931940012</v>
      </c>
      <c r="G14" t="s">
        <v>6</v>
      </c>
    </row>
    <row r="15" spans="1:14">
      <c r="A15" t="s">
        <v>86</v>
      </c>
      <c r="C15">
        <v>567.82249999999999</v>
      </c>
      <c r="D15" t="s">
        <v>58</v>
      </c>
      <c r="E15" t="s">
        <v>90</v>
      </c>
      <c r="F15">
        <f>C11-C11*C5</f>
        <v>2380.5853123437</v>
      </c>
      <c r="G15" t="s">
        <v>6</v>
      </c>
    </row>
    <row r="16" spans="1:14">
      <c r="A16" s="2" t="s">
        <v>87</v>
      </c>
      <c r="B16" s="2"/>
      <c r="C16" s="2" t="s">
        <v>88</v>
      </c>
    </row>
    <row r="17" spans="1:18">
      <c r="B17" t="s">
        <v>89</v>
      </c>
      <c r="C17">
        <f>J3</f>
        <v>381750</v>
      </c>
      <c r="D17" t="s">
        <v>54</v>
      </c>
    </row>
    <row r="18" spans="1:18">
      <c r="B18" t="s">
        <v>99</v>
      </c>
    </row>
    <row r="21" spans="1:18">
      <c r="R21" s="1"/>
    </row>
    <row r="22" spans="1:18">
      <c r="E22" s="11" t="s">
        <v>81</v>
      </c>
      <c r="F22" s="11"/>
    </row>
    <row r="23" spans="1:18">
      <c r="E23" s="11" t="s">
        <v>82</v>
      </c>
      <c r="F23" s="11"/>
    </row>
    <row r="24" spans="1:18">
      <c r="A24" t="s">
        <v>76</v>
      </c>
    </row>
    <row r="25" spans="1:18">
      <c r="A25" t="s">
        <v>77</v>
      </c>
      <c r="C25" s="9"/>
    </row>
    <row r="26" spans="1:18">
      <c r="A26" t="s">
        <v>80</v>
      </c>
    </row>
    <row r="27" spans="1:18">
      <c r="A27" t="s">
        <v>79</v>
      </c>
    </row>
    <row r="29" spans="1:18">
      <c r="B29" t="s">
        <v>83</v>
      </c>
      <c r="E29" t="s">
        <v>78</v>
      </c>
    </row>
    <row r="30" spans="1:18">
      <c r="G30" t="s">
        <v>73</v>
      </c>
    </row>
    <row r="31" spans="1:18">
      <c r="F31" t="s">
        <v>70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chria mcninch</dc:creator>
  <cp:lastModifiedBy>chria mcninch</cp:lastModifiedBy>
  <dcterms:created xsi:type="dcterms:W3CDTF">2010-02-13T06:43:30Z</dcterms:created>
  <dcterms:modified xsi:type="dcterms:W3CDTF">2010-02-15T13:18:27Z</dcterms:modified>
</cp:coreProperties>
</file>